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4895" windowHeight="7830"/>
  </bookViews>
  <sheets>
    <sheet name="PA chi" sheetId="8" r:id="rId1"/>
    <sheet name="Sheet2" sheetId="2" r:id="rId2"/>
    <sheet name="Sheet3" sheetId="3" r:id="rId3"/>
  </sheets>
  <definedNames>
    <definedName name="_xlnm.Print_Area" localSheetId="0">'PA chi'!$A$9:$H$23</definedName>
  </definedNames>
  <calcPr calcId="145621"/>
</workbook>
</file>

<file path=xl/calcChain.xml><?xml version="1.0" encoding="utf-8"?>
<calcChain xmlns="http://schemas.openxmlformats.org/spreadsheetml/2006/main">
  <c r="G21" i="8" l="1"/>
  <c r="G23" i="8"/>
  <c r="G22" i="8"/>
  <c r="G20" i="8"/>
  <c r="G19" i="8"/>
  <c r="F52" i="8" l="1"/>
  <c r="F56" i="8"/>
  <c r="F51" i="8"/>
  <c r="F54" i="8" s="1"/>
  <c r="F75" i="8" l="1"/>
  <c r="F73" i="8"/>
  <c r="G70" i="8" l="1"/>
  <c r="F67" i="8"/>
  <c r="F70" i="8" s="1"/>
  <c r="F71" i="8" l="1"/>
  <c r="F72" i="8"/>
  <c r="F69" i="8"/>
  <c r="F68" i="8" s="1"/>
  <c r="F74" i="8" l="1"/>
  <c r="F48" i="8" l="1"/>
  <c r="F26" i="8"/>
  <c r="F46" i="8"/>
  <c r="F44" i="8"/>
  <c r="F41" i="8" l="1"/>
  <c r="F40" i="8"/>
  <c r="F39" i="8"/>
  <c r="F30" i="8"/>
  <c r="F24" i="8" l="1"/>
  <c r="F16" i="8"/>
  <c r="F11" i="8" l="1"/>
  <c r="F9" i="8"/>
  <c r="F14" i="8" l="1"/>
  <c r="F17" i="8" s="1"/>
  <c r="G18" i="8" s="1"/>
  <c r="F13" i="8"/>
  <c r="F45" i="8" l="1"/>
  <c r="F49" i="8"/>
  <c r="F53" i="8" l="1"/>
  <c r="F55" i="8" l="1"/>
  <c r="F57" i="8" s="1"/>
  <c r="F47" i="8"/>
  <c r="F42" i="8"/>
  <c r="F81" i="8"/>
  <c r="F80" i="8"/>
  <c r="F79" i="8"/>
  <c r="F78" i="8"/>
  <c r="F77" i="8"/>
  <c r="F76" i="8"/>
  <c r="F38" i="8"/>
  <c r="F37" i="8"/>
  <c r="F36" i="8"/>
  <c r="F35" i="8"/>
  <c r="F34" i="8"/>
  <c r="F33" i="8"/>
  <c r="F32" i="8"/>
  <c r="F25" i="8"/>
  <c r="F19" i="8"/>
  <c r="F18" i="8"/>
  <c r="F59" i="8" l="1"/>
  <c r="F58" i="8"/>
  <c r="F20" i="8"/>
  <c r="F21" i="8" s="1"/>
  <c r="F22" i="8" s="1"/>
  <c r="F23" i="8" s="1"/>
  <c r="F28" i="8"/>
  <c r="F29" i="8"/>
  <c r="H63" i="8" l="1"/>
  <c r="F63" i="8" s="1"/>
  <c r="H66" i="8"/>
  <c r="F66" i="8" s="1"/>
  <c r="H62" i="8"/>
  <c r="F62" i="8" s="1"/>
  <c r="H65" i="8"/>
  <c r="F65" i="8" s="1"/>
  <c r="H61" i="8"/>
  <c r="F61" i="8" s="1"/>
  <c r="H64" i="8"/>
  <c r="F64" i="8" s="1"/>
  <c r="H60" i="8"/>
  <c r="F60" i="8" s="1"/>
  <c r="G29" i="8"/>
  <c r="F31" i="8"/>
  <c r="F12" i="8"/>
  <c r="F27" i="8"/>
</calcChain>
</file>

<file path=xl/sharedStrings.xml><?xml version="1.0" encoding="utf-8"?>
<sst xmlns="http://schemas.openxmlformats.org/spreadsheetml/2006/main" count="115" uniqueCount="103">
  <si>
    <t>Số TT</t>
  </si>
  <si>
    <t>Nội dung</t>
  </si>
  <si>
    <t>Đơn vị tính</t>
  </si>
  <si>
    <t>Mức thu</t>
  </si>
  <si>
    <t>Nội dung và định mức dự chi</t>
  </si>
  <si>
    <t>I</t>
  </si>
  <si>
    <t>Các khoản thu theo QĐ 51/2013 của UBND thành phố Hà Nội</t>
  </si>
  <si>
    <t>Ăn bán trú</t>
  </si>
  <si>
    <t>Đ/hs/ngày</t>
  </si>
  <si>
    <t>Chăm sóc bán trú</t>
  </si>
  <si>
    <t xml:space="preserve">Đ/hs/tháng </t>
  </si>
  <si>
    <t xml:space="preserve">Dự kiến chi: </t>
  </si>
  <si>
    <t>Học 2 buổi \ngày</t>
  </si>
  <si>
    <t>Tiếng anh liên kết</t>
  </si>
  <si>
    <t>Số tiền chi</t>
  </si>
  <si>
    <t>Kỹ năng sống poky</t>
  </si>
  <si>
    <t>- Chi giáo viên trông bán trú (80%)</t>
  </si>
  <si>
    <t>Trang thiết bị phục vụ bán trú</t>
  </si>
  <si>
    <t>Đ\hs\năm</t>
  </si>
  <si>
    <t>Chi 100% mua đồ dùng phục vụ CSBT</t>
  </si>
  <si>
    <t>- Khối 1: 100.000           - Khối 2,3,4: 70.000đ   - Khối 5: 50.000đ</t>
  </si>
  <si>
    <t>Nước uống</t>
  </si>
  <si>
    <t>Dự kiến chi (Theo số lượng thực tế hàng tháng)</t>
  </si>
  <si>
    <t>TRƯỜNG TIỂU HỌC BÁT TRÀNG</t>
  </si>
  <si>
    <t xml:space="preserve">Bảo hiểm thân thể </t>
  </si>
  <si>
    <t xml:space="preserve">Đ/hs/năm </t>
  </si>
  <si>
    <t>KẾ TOÁN</t>
  </si>
  <si>
    <t>HIỆU TRƯỞNG</t>
  </si>
  <si>
    <t>Đinh Quang Phát</t>
  </si>
  <si>
    <t>Nguyễn Thị Lý</t>
  </si>
  <si>
    <t>Đơn vị tính: đồng</t>
  </si>
  <si>
    <t>Dự kiến chi: trả 100% số tiền thu được cho đơn vị cung cấp</t>
  </si>
  <si>
    <t>1. Chi giáo viên trực tiếp dạy (65%)</t>
  </si>
  <si>
    <t>2. Chi Cán bộ quản lý, nhân viên phục vụ 20%  (quy đổi 100%)</t>
  </si>
  <si>
    <t>Hiệu trưởng (24%)</t>
  </si>
  <si>
    <t>Kế toán (13%)</t>
  </si>
  <si>
    <t>Thủ quỹ: (10%)</t>
  </si>
  <si>
    <t xml:space="preserve">Tổng thu học kỹ năng sống: </t>
  </si>
  <si>
    <t>Tổng thu:</t>
  </si>
  <si>
    <t>3. Chi mua đồ dùng dạy học, văn phòng phẩm, điện nước, vệ sinh (10%)</t>
  </si>
  <si>
    <t>4. Chi phúc lợi tập thể (5%)</t>
  </si>
  <si>
    <t>Tổng phụ trách (10%)</t>
  </si>
  <si>
    <t>Thủ quỹ (12%)</t>
  </si>
  <si>
    <t>TPT:  9%</t>
  </si>
  <si>
    <t>Thư viện:  (12%)</t>
  </si>
  <si>
    <t>Hiệu trưởng (23%)</t>
  </si>
  <si>
    <t>Hiệu phó: (22%)</t>
  </si>
  <si>
    <t>Kế toán (15%)</t>
  </si>
  <si>
    <t xml:space="preserve">KH 2: Tháng 1: 19; tháng 2: 16, tháng 3: 23; tháng 4: 20; tháng 5: 19 (27/5): Tổng HK II: 97 ngày </t>
  </si>
  <si>
    <t xml:space="preserve">1. Chi trả công ty liên kết (80%) </t>
  </si>
  <si>
    <t>2. Phần trích lại: 20% trong đó:</t>
  </si>
  <si>
    <t>Quỹ đội</t>
  </si>
  <si>
    <t>Đ/HS/năm</t>
  </si>
  <si>
    <t>Dự kiến chi (Chi mua đồ dùng phục vụ công tác đội)</t>
  </si>
  <si>
    <t>BHYT học sinh</t>
  </si>
  <si>
    <t>Đ/hs/năm</t>
  </si>
  <si>
    <t>563.220 đến 704.025</t>
  </si>
  <si>
    <t>Dự kiến chi (Chi trả BHYT huyện Gia Lâm)</t>
  </si>
  <si>
    <t>II</t>
  </si>
  <si>
    <t>Các khoản thu hộ</t>
  </si>
  <si>
    <t>III</t>
  </si>
  <si>
    <t>Các khoản thu thỏa thuận theo nhu cầu thực tế phục vụ học sinh</t>
  </si>
  <si>
    <r>
      <t xml:space="preserve">( ngày, tháng 12: 23 ngày. </t>
    </r>
    <r>
      <rPr>
        <b/>
        <sz val="12"/>
        <color theme="0"/>
        <rFont val="Times New Roman"/>
        <family val="1"/>
      </rPr>
      <t>Tổng HK I: 23 ngày.</t>
    </r>
  </si>
  <si>
    <t>Hiệu phó: (20%)</t>
  </si>
  <si>
    <t>Y tế (10%)</t>
  </si>
  <si>
    <t>Tổ trưởng chuyên biệt -GVTA (hỗ trợ 10%)</t>
  </si>
  <si>
    <t>DỰ TOÁN THU - CHI CÁC KHOẢN NĂM HỌC 2022-2023</t>
  </si>
  <si>
    <t>25.000 hoặc 30.000</t>
  </si>
  <si>
    <t xml:space="preserve">Năm học 2022-2023 nhà trường ký hợp đồng cung cấp thức ăn với Công ty Xuất ăn CNHN. 100% tiền ăn bán trú được sử dụng để thanh toán  bữa ăn hàng ngày cho học sinh, dự kiến thu: </t>
  </si>
  <si>
    <t>Chi bữa ăn chính: 25.000đ/hs/bữa  hoặc Bữa chính và bữa phụ 30.000đ/hs/ngày</t>
  </si>
  <si>
    <t>Thu CSBT : 680 hs x 150.000đ/tháng)</t>
  </si>
  <si>
    <t xml:space="preserve">Phụ trách chia cơm, bê cơm </t>
  </si>
  <si>
    <t>- Chi Cán bộ quản lý, nhân viên phục vụ 20%</t>
  </si>
  <si>
    <t>Số tiền còn lại chi cho CBQL, Nhân viên phục  vụ bán trú</t>
  </si>
  <si>
    <t>Tổng thu CSVC dự kiến năm học 2022-2022</t>
  </si>
  <si>
    <t>Số tiền còn lại quy đổi 100%. Trong đó chi</t>
  </si>
  <si>
    <t>Tổng thu (Ban Phụ huynh trực tiếp thu và ký HĐ với công ty BH</t>
  </si>
  <si>
    <t>Tổng thu học mô hình (1020hs x 100.000đ/hs</t>
  </si>
  <si>
    <t>Chi điện, nước, CSVC 15%</t>
  </si>
  <si>
    <t>Chi Cán bộ quản lý, giáo viên, nhân viên phục vụ 85% (quy đổi 100%) chi:</t>
  </si>
  <si>
    <t>Kế toán: (13%)</t>
  </si>
  <si>
    <t>Y tế: (9%)</t>
  </si>
  <si>
    <t>TPT:  (10%)</t>
  </si>
  <si>
    <t>Hiệu trưởng (27%)</t>
  </si>
  <si>
    <t>Hiệu phó (24%)</t>
  </si>
  <si>
    <t>Kế toán: 14%</t>
  </si>
  <si>
    <t>Hiệu phó: (21%)</t>
  </si>
  <si>
    <t xml:space="preserve">1. Chi trả công ty cung cấp (27,3%) </t>
  </si>
  <si>
    <t>2. Trích lại trường (72,7%)</t>
  </si>
  <si>
    <t>- Nộp thuế TNDN 2%</t>
  </si>
  <si>
    <t>- Chi giáo viên trực tiếp giảng dạy (55%/tổng thu)</t>
  </si>
  <si>
    <t>Số tiền còn lại  (quy đổi 100%) trong đó chi</t>
  </si>
  <si>
    <t>Thủ quỹ (11%)</t>
  </si>
  <si>
    <t xml:space="preserve">Hỗ trợ Tổ Bảo vệ </t>
  </si>
  <si>
    <t>- Hỗ trợ Tổ Bảo vệ và GV chuyên Biệt</t>
  </si>
  <si>
    <t>Y tế (9%)</t>
  </si>
  <si>
    <t>Tổng phụ trách (9%)</t>
  </si>
  <si>
    <t>Tổng thu học tiếng anh liên kết (1020hs x 240.000đ/tháng</t>
  </si>
  <si>
    <t>a. 2% Nôp thuế TNDN</t>
  </si>
  <si>
    <t>b. Chi giáo viên chủ nhiệm: 10%</t>
  </si>
  <si>
    <t>- Mua bán VPP, phô tô tài liệu, điện, nước.. (13%)</t>
  </si>
  <si>
    <t>Thủ quỹ  11%</t>
  </si>
  <si>
    <t>Y tế: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</si>
</sst>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?_);_(@_)"/>
    <numFmt numFmtId="167" formatCode="#,##0_ ;[Red]\-#,##0\ "/>
    <numFmt numFmtId="168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5" fontId="3" fillId="0" borderId="0" xfId="1" applyNumberFormat="1" applyFont="1"/>
    <xf numFmtId="49" fontId="2" fillId="0" borderId="0" xfId="0" applyNumberFormat="1" applyFont="1" applyAlignment="1">
      <alignment wrapText="1"/>
    </xf>
    <xf numFmtId="4" fontId="2" fillId="0" borderId="0" xfId="1" applyNumberFormat="1" applyFont="1"/>
    <xf numFmtId="165" fontId="0" fillId="0" borderId="0" xfId="1" applyNumberFormat="1" applyFont="1" applyAlignment="1">
      <alignment horizontal="right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9" fontId="2" fillId="0" borderId="0" xfId="1" applyNumberFormat="1" applyFont="1"/>
    <xf numFmtId="3" fontId="2" fillId="0" borderId="0" xfId="1" applyNumberFormat="1" applyFont="1"/>
    <xf numFmtId="3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1" applyNumberFormat="1" applyFont="1"/>
    <xf numFmtId="0" fontId="7" fillId="0" borderId="0" xfId="0" applyFont="1" applyBorder="1" applyAlignment="1">
      <alignment vertical="center" wrapText="1"/>
    </xf>
    <xf numFmtId="166" fontId="4" fillId="0" borderId="3" xfId="0" applyNumberFormat="1" applyFont="1" applyBorder="1"/>
    <xf numFmtId="165" fontId="2" fillId="0" borderId="0" xfId="1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8" fontId="4" fillId="0" borderId="3" xfId="0" applyNumberFormat="1" applyFont="1" applyBorder="1"/>
    <xf numFmtId="9" fontId="6" fillId="0" borderId="1" xfId="1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61" zoomScale="70" zoomScaleNormal="70" workbookViewId="0">
      <selection activeCell="F40" sqref="F40"/>
    </sheetView>
  </sheetViews>
  <sheetFormatPr defaultRowHeight="18.75" x14ac:dyDescent="0.3"/>
  <cols>
    <col min="1" max="1" width="5.28515625" style="9" customWidth="1"/>
    <col min="2" max="2" width="21.7109375" style="15" customWidth="1"/>
    <col min="3" max="3" width="6.85546875" style="9" hidden="1" customWidth="1"/>
    <col min="4" max="4" width="18" style="9" customWidth="1"/>
    <col min="5" max="5" width="74.42578125" style="5" customWidth="1"/>
    <col min="6" max="6" width="17.7109375" style="10" customWidth="1"/>
    <col min="7" max="7" width="18.28515625" style="3" bestFit="1" customWidth="1"/>
    <col min="8" max="8" width="14.7109375" style="3" customWidth="1"/>
    <col min="9" max="9" width="17.85546875" style="3" customWidth="1"/>
    <col min="10" max="10" width="9.140625" style="3"/>
    <col min="11" max="16384" width="9.140625" style="1"/>
  </cols>
  <sheetData>
    <row r="1" spans="1:10" x14ac:dyDescent="0.3">
      <c r="A1" s="44" t="s">
        <v>23</v>
      </c>
      <c r="B1" s="44"/>
      <c r="C1" s="44"/>
      <c r="D1" s="44"/>
      <c r="E1" s="44"/>
      <c r="F1" s="44"/>
    </row>
    <row r="3" spans="1:10" x14ac:dyDescent="0.3">
      <c r="A3" s="45" t="s">
        <v>66</v>
      </c>
      <c r="B3" s="45"/>
      <c r="C3" s="45"/>
      <c r="D3" s="45"/>
      <c r="E3" s="45"/>
      <c r="F3" s="45"/>
    </row>
    <row r="5" spans="1:10" x14ac:dyDescent="0.3">
      <c r="A5" s="46"/>
      <c r="B5" s="46"/>
      <c r="C5" s="46"/>
      <c r="D5" s="46"/>
      <c r="E5" s="46"/>
      <c r="F5" s="46"/>
    </row>
    <row r="6" spans="1:10" ht="24" customHeight="1" x14ac:dyDescent="0.3">
      <c r="E6" s="47" t="s">
        <v>30</v>
      </c>
      <c r="F6" s="47"/>
    </row>
    <row r="7" spans="1:10" s="28" customFormat="1" ht="42" customHeight="1" x14ac:dyDescent="0.25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8" t="s">
        <v>14</v>
      </c>
      <c r="G7" s="19"/>
      <c r="H7" s="19"/>
      <c r="I7" s="19"/>
      <c r="J7" s="19"/>
    </row>
    <row r="8" spans="1:10" s="2" customFormat="1" x14ac:dyDescent="0.3">
      <c r="A8" s="13" t="s">
        <v>5</v>
      </c>
      <c r="B8" s="48" t="s">
        <v>6</v>
      </c>
      <c r="C8" s="48"/>
      <c r="D8" s="48"/>
      <c r="E8" s="48"/>
      <c r="F8" s="12"/>
      <c r="G8" s="4"/>
      <c r="H8" s="4"/>
      <c r="I8" s="4"/>
      <c r="J8" s="4"/>
    </row>
    <row r="9" spans="1:10" ht="59.25" customHeight="1" x14ac:dyDescent="0.3">
      <c r="A9" s="40">
        <v>1</v>
      </c>
      <c r="B9" s="41" t="s">
        <v>7</v>
      </c>
      <c r="C9" s="40" t="s">
        <v>8</v>
      </c>
      <c r="D9" s="55" t="s">
        <v>67</v>
      </c>
      <c r="E9" s="8" t="s">
        <v>68</v>
      </c>
      <c r="F9" s="49">
        <f>400*30000+287*25000</f>
        <v>19175000</v>
      </c>
      <c r="G9" s="54"/>
      <c r="H9" s="30" t="s">
        <v>62</v>
      </c>
    </row>
    <row r="10" spans="1:10" ht="37.5" x14ac:dyDescent="0.3">
      <c r="A10" s="40"/>
      <c r="B10" s="41"/>
      <c r="C10" s="40"/>
      <c r="D10" s="55"/>
      <c r="E10" s="8" t="s">
        <v>69</v>
      </c>
      <c r="F10" s="49"/>
      <c r="G10" s="54"/>
      <c r="H10" s="53" t="s">
        <v>48</v>
      </c>
    </row>
    <row r="11" spans="1:10" x14ac:dyDescent="0.3">
      <c r="A11" s="40">
        <v>2</v>
      </c>
      <c r="B11" s="41" t="s">
        <v>9</v>
      </c>
      <c r="C11" s="40" t="s">
        <v>10</v>
      </c>
      <c r="D11" s="42">
        <v>150000</v>
      </c>
      <c r="E11" s="8" t="s">
        <v>70</v>
      </c>
      <c r="F11" s="23">
        <f>680*150000</f>
        <v>102000000</v>
      </c>
      <c r="H11" s="53"/>
    </row>
    <row r="12" spans="1:10" s="2" customFormat="1" x14ac:dyDescent="0.3">
      <c r="A12" s="40"/>
      <c r="B12" s="41"/>
      <c r="C12" s="40"/>
      <c r="D12" s="42"/>
      <c r="E12" s="24" t="s">
        <v>11</v>
      </c>
      <c r="F12" s="23">
        <f>F13+F14</f>
        <v>102000000</v>
      </c>
      <c r="G12" s="4"/>
      <c r="H12" s="53"/>
      <c r="I12" s="4"/>
      <c r="J12" s="4"/>
    </row>
    <row r="13" spans="1:10" s="2" customFormat="1" x14ac:dyDescent="0.3">
      <c r="A13" s="40"/>
      <c r="B13" s="41"/>
      <c r="C13" s="40"/>
      <c r="D13" s="42"/>
      <c r="E13" s="8" t="s">
        <v>16</v>
      </c>
      <c r="F13" s="11">
        <f>F11*80%</f>
        <v>81600000</v>
      </c>
      <c r="G13" s="4"/>
      <c r="H13" s="33"/>
      <c r="I13" s="4"/>
      <c r="J13" s="4"/>
    </row>
    <row r="14" spans="1:10" x14ac:dyDescent="0.3">
      <c r="A14" s="40"/>
      <c r="B14" s="41"/>
      <c r="C14" s="40"/>
      <c r="D14" s="42"/>
      <c r="E14" s="8" t="s">
        <v>72</v>
      </c>
      <c r="F14" s="11">
        <f>F11*20%</f>
        <v>20400000</v>
      </c>
      <c r="H14" s="6"/>
    </row>
    <row r="15" spans="1:10" x14ac:dyDescent="0.3">
      <c r="A15" s="40"/>
      <c r="B15" s="41"/>
      <c r="C15" s="40"/>
      <c r="D15" s="42"/>
      <c r="E15" s="8" t="s">
        <v>71</v>
      </c>
      <c r="F15" s="11">
        <v>4500000</v>
      </c>
      <c r="H15" s="6"/>
    </row>
    <row r="16" spans="1:10" x14ac:dyDescent="0.3">
      <c r="A16" s="40"/>
      <c r="B16" s="41"/>
      <c r="C16" s="40"/>
      <c r="D16" s="42"/>
      <c r="E16" s="25" t="s">
        <v>93</v>
      </c>
      <c r="F16" s="11">
        <f>400000*4</f>
        <v>1600000</v>
      </c>
      <c r="H16" s="6"/>
    </row>
    <row r="17" spans="1:8" x14ac:dyDescent="0.3">
      <c r="A17" s="40"/>
      <c r="B17" s="41"/>
      <c r="C17" s="40"/>
      <c r="D17" s="42"/>
      <c r="E17" s="34" t="s">
        <v>73</v>
      </c>
      <c r="F17" s="11">
        <f>F14-(F15+F16)</f>
        <v>14300000</v>
      </c>
      <c r="H17" s="6"/>
    </row>
    <row r="18" spans="1:8" x14ac:dyDescent="0.3">
      <c r="A18" s="40"/>
      <c r="B18" s="41"/>
      <c r="C18" s="40"/>
      <c r="D18" s="42"/>
      <c r="E18" s="8" t="s">
        <v>83</v>
      </c>
      <c r="F18" s="11">
        <f>G18*H18</f>
        <v>3861000.0000000005</v>
      </c>
      <c r="G18" s="3">
        <f>F17</f>
        <v>14300000</v>
      </c>
      <c r="H18" s="21">
        <v>0.27</v>
      </c>
    </row>
    <row r="19" spans="1:8" x14ac:dyDescent="0.3">
      <c r="A19" s="40"/>
      <c r="B19" s="41"/>
      <c r="C19" s="40"/>
      <c r="D19" s="42"/>
      <c r="E19" s="8" t="s">
        <v>84</v>
      </c>
      <c r="F19" s="11">
        <f t="shared" ref="F19:F23" si="0">G19*H19</f>
        <v>3432000</v>
      </c>
      <c r="G19" s="3">
        <f>F17</f>
        <v>14300000</v>
      </c>
      <c r="H19" s="21">
        <v>0.24</v>
      </c>
    </row>
    <row r="20" spans="1:8" x14ac:dyDescent="0.3">
      <c r="A20" s="40"/>
      <c r="B20" s="41"/>
      <c r="C20" s="40"/>
      <c r="D20" s="42"/>
      <c r="E20" s="8" t="s">
        <v>85</v>
      </c>
      <c r="F20" s="11">
        <f t="shared" si="0"/>
        <v>2002000.0000000002</v>
      </c>
      <c r="G20" s="3">
        <f>F17</f>
        <v>14300000</v>
      </c>
      <c r="H20" s="21">
        <v>0.14000000000000001</v>
      </c>
    </row>
    <row r="21" spans="1:8" x14ac:dyDescent="0.3">
      <c r="A21" s="40"/>
      <c r="B21" s="41"/>
      <c r="C21" s="40"/>
      <c r="D21" s="42"/>
      <c r="E21" s="8" t="s">
        <v>102</v>
      </c>
      <c r="F21" s="11">
        <f t="shared" si="0"/>
        <v>2145000</v>
      </c>
      <c r="G21" s="3">
        <f>F17</f>
        <v>14300000</v>
      </c>
      <c r="H21" s="21">
        <v>0.15</v>
      </c>
    </row>
    <row r="22" spans="1:8" x14ac:dyDescent="0.3">
      <c r="A22" s="40"/>
      <c r="B22" s="41"/>
      <c r="C22" s="40"/>
      <c r="D22" s="42"/>
      <c r="E22" s="8" t="s">
        <v>101</v>
      </c>
      <c r="F22" s="11">
        <f>G22*H22</f>
        <v>1573000</v>
      </c>
      <c r="G22" s="3">
        <f>F17</f>
        <v>14300000</v>
      </c>
      <c r="H22" s="21">
        <v>0.11</v>
      </c>
    </row>
    <row r="23" spans="1:8" x14ac:dyDescent="0.3">
      <c r="A23" s="40"/>
      <c r="B23" s="41"/>
      <c r="C23" s="40"/>
      <c r="D23" s="42"/>
      <c r="E23" s="8" t="s">
        <v>43</v>
      </c>
      <c r="F23" s="11">
        <f t="shared" si="0"/>
        <v>1287000</v>
      </c>
      <c r="G23" s="3">
        <f>F17</f>
        <v>14300000</v>
      </c>
      <c r="H23" s="21">
        <v>0.09</v>
      </c>
    </row>
    <row r="24" spans="1:8" x14ac:dyDescent="0.3">
      <c r="A24" s="40">
        <v>3</v>
      </c>
      <c r="B24" s="41" t="s">
        <v>17</v>
      </c>
      <c r="C24" s="40" t="s">
        <v>18</v>
      </c>
      <c r="D24" s="43" t="s">
        <v>20</v>
      </c>
      <c r="E24" s="25" t="s">
        <v>74</v>
      </c>
      <c r="F24" s="26">
        <f>(142*100000)+(106*50000)+(439*70000)</f>
        <v>50230000</v>
      </c>
      <c r="G24" s="14"/>
      <c r="H24" s="6"/>
    </row>
    <row r="25" spans="1:8" x14ac:dyDescent="0.3">
      <c r="A25" s="40"/>
      <c r="B25" s="41"/>
      <c r="C25" s="40"/>
      <c r="D25" s="43"/>
      <c r="E25" s="25" t="s">
        <v>19</v>
      </c>
      <c r="F25" s="26">
        <f>F24</f>
        <v>50230000</v>
      </c>
      <c r="G25" s="14"/>
      <c r="H25" s="6"/>
    </row>
    <row r="26" spans="1:8" x14ac:dyDescent="0.3">
      <c r="A26" s="40">
        <v>4</v>
      </c>
      <c r="B26" s="41" t="s">
        <v>12</v>
      </c>
      <c r="C26" s="40" t="s">
        <v>10</v>
      </c>
      <c r="D26" s="42">
        <v>100000</v>
      </c>
      <c r="E26" s="8" t="s">
        <v>77</v>
      </c>
      <c r="F26" s="23">
        <f>1020*100000</f>
        <v>102000000</v>
      </c>
      <c r="H26" s="6"/>
    </row>
    <row r="27" spans="1:8" x14ac:dyDescent="0.3">
      <c r="A27" s="40"/>
      <c r="B27" s="41"/>
      <c r="C27" s="40"/>
      <c r="D27" s="42"/>
      <c r="E27" s="8" t="s">
        <v>11</v>
      </c>
      <c r="F27" s="23">
        <f>F28+F29+F39+F40</f>
        <v>102000000</v>
      </c>
      <c r="H27" s="6"/>
    </row>
    <row r="28" spans="1:8" x14ac:dyDescent="0.3">
      <c r="A28" s="40"/>
      <c r="B28" s="41"/>
      <c r="C28" s="40"/>
      <c r="D28" s="42"/>
      <c r="E28" s="8" t="s">
        <v>32</v>
      </c>
      <c r="F28" s="11">
        <f>F26*65%</f>
        <v>66300000</v>
      </c>
      <c r="H28" s="6"/>
    </row>
    <row r="29" spans="1:8" x14ac:dyDescent="0.3">
      <c r="A29" s="40"/>
      <c r="B29" s="41"/>
      <c r="C29" s="40"/>
      <c r="D29" s="42"/>
      <c r="E29" s="8" t="s">
        <v>33</v>
      </c>
      <c r="F29" s="11">
        <f>F26*20%</f>
        <v>20400000</v>
      </c>
      <c r="G29" s="3" t="e">
        <f>F29-#REF!</f>
        <v>#REF!</v>
      </c>
      <c r="H29" s="6"/>
    </row>
    <row r="30" spans="1:8" x14ac:dyDescent="0.3">
      <c r="A30" s="40"/>
      <c r="B30" s="41"/>
      <c r="C30" s="40"/>
      <c r="D30" s="42"/>
      <c r="E30" s="8" t="s">
        <v>93</v>
      </c>
      <c r="F30" s="11">
        <f>1000000*4</f>
        <v>4000000</v>
      </c>
      <c r="H30" s="6"/>
    </row>
    <row r="31" spans="1:8" x14ac:dyDescent="0.3">
      <c r="A31" s="40"/>
      <c r="B31" s="41"/>
      <c r="C31" s="40"/>
      <c r="D31" s="42"/>
      <c r="E31" s="8" t="s">
        <v>75</v>
      </c>
      <c r="F31" s="11">
        <f>F29-F30</f>
        <v>16400000</v>
      </c>
      <c r="H31" s="6"/>
    </row>
    <row r="32" spans="1:8" x14ac:dyDescent="0.3">
      <c r="A32" s="40"/>
      <c r="B32" s="41"/>
      <c r="C32" s="40"/>
      <c r="D32" s="42"/>
      <c r="E32" s="8" t="s">
        <v>34</v>
      </c>
      <c r="F32" s="11">
        <f>G32*H32</f>
        <v>3912000</v>
      </c>
      <c r="G32" s="3">
        <v>16300000</v>
      </c>
      <c r="H32" s="21">
        <v>0.24</v>
      </c>
    </row>
    <row r="33" spans="1:10" x14ac:dyDescent="0.3">
      <c r="A33" s="40"/>
      <c r="B33" s="41"/>
      <c r="C33" s="40"/>
      <c r="D33" s="42"/>
      <c r="E33" s="8" t="s">
        <v>46</v>
      </c>
      <c r="F33" s="11">
        <f t="shared" ref="F33:F38" si="1">G33*H33</f>
        <v>3586000</v>
      </c>
      <c r="G33" s="3">
        <v>16300000</v>
      </c>
      <c r="H33" s="21">
        <v>0.22</v>
      </c>
    </row>
    <row r="34" spans="1:10" x14ac:dyDescent="0.3">
      <c r="A34" s="40"/>
      <c r="B34" s="41"/>
      <c r="C34" s="40"/>
      <c r="D34" s="42"/>
      <c r="E34" s="8" t="s">
        <v>80</v>
      </c>
      <c r="F34" s="11">
        <f t="shared" si="1"/>
        <v>2119000</v>
      </c>
      <c r="G34" s="3">
        <v>16300000</v>
      </c>
      <c r="H34" s="21">
        <v>0.13</v>
      </c>
    </row>
    <row r="35" spans="1:10" x14ac:dyDescent="0.3">
      <c r="A35" s="40"/>
      <c r="B35" s="41"/>
      <c r="C35" s="40"/>
      <c r="D35" s="42"/>
      <c r="E35" s="8" t="s">
        <v>81</v>
      </c>
      <c r="F35" s="11">
        <f t="shared" si="1"/>
        <v>1467000</v>
      </c>
      <c r="G35" s="3">
        <v>16300000</v>
      </c>
      <c r="H35" s="21">
        <v>0.09</v>
      </c>
    </row>
    <row r="36" spans="1:10" x14ac:dyDescent="0.3">
      <c r="A36" s="40"/>
      <c r="B36" s="41"/>
      <c r="C36" s="40"/>
      <c r="D36" s="42"/>
      <c r="E36" s="8" t="s">
        <v>36</v>
      </c>
      <c r="F36" s="11">
        <f t="shared" si="1"/>
        <v>1630000</v>
      </c>
      <c r="G36" s="3">
        <v>16300000</v>
      </c>
      <c r="H36" s="21">
        <v>0.1</v>
      </c>
    </row>
    <row r="37" spans="1:10" x14ac:dyDescent="0.3">
      <c r="A37" s="40"/>
      <c r="B37" s="41"/>
      <c r="C37" s="40"/>
      <c r="D37" s="42"/>
      <c r="E37" s="8" t="s">
        <v>82</v>
      </c>
      <c r="F37" s="11">
        <f t="shared" si="1"/>
        <v>1630000</v>
      </c>
      <c r="G37" s="3">
        <v>16300000</v>
      </c>
      <c r="H37" s="21">
        <v>0.1</v>
      </c>
    </row>
    <row r="38" spans="1:10" x14ac:dyDescent="0.3">
      <c r="A38" s="40"/>
      <c r="B38" s="41"/>
      <c r="C38" s="40"/>
      <c r="D38" s="42"/>
      <c r="E38" s="8" t="s">
        <v>44</v>
      </c>
      <c r="F38" s="11">
        <f t="shared" si="1"/>
        <v>1956000</v>
      </c>
      <c r="G38" s="3">
        <v>16300000</v>
      </c>
      <c r="H38" s="21">
        <v>0.12</v>
      </c>
    </row>
    <row r="39" spans="1:10" ht="37.5" x14ac:dyDescent="0.3">
      <c r="A39" s="40"/>
      <c r="B39" s="41"/>
      <c r="C39" s="40"/>
      <c r="D39" s="42"/>
      <c r="E39" s="8" t="s">
        <v>39</v>
      </c>
      <c r="F39" s="11">
        <f>F26*10%</f>
        <v>10200000</v>
      </c>
      <c r="H39" s="6"/>
    </row>
    <row r="40" spans="1:10" x14ac:dyDescent="0.3">
      <c r="A40" s="40"/>
      <c r="B40" s="41"/>
      <c r="C40" s="40"/>
      <c r="D40" s="42"/>
      <c r="E40" s="8" t="s">
        <v>40</v>
      </c>
      <c r="F40" s="11">
        <f>F26*5%</f>
        <v>5100000</v>
      </c>
      <c r="H40" s="6"/>
    </row>
    <row r="41" spans="1:10" x14ac:dyDescent="0.3">
      <c r="A41" s="40">
        <v>7</v>
      </c>
      <c r="B41" s="41" t="s">
        <v>21</v>
      </c>
      <c r="C41" s="40" t="s">
        <v>10</v>
      </c>
      <c r="D41" s="42">
        <v>12000</v>
      </c>
      <c r="E41" s="8" t="s">
        <v>38</v>
      </c>
      <c r="F41" s="11">
        <f>1020*12000</f>
        <v>12240000</v>
      </c>
    </row>
    <row r="42" spans="1:10" x14ac:dyDescent="0.3">
      <c r="A42" s="40"/>
      <c r="B42" s="41"/>
      <c r="C42" s="40"/>
      <c r="D42" s="42"/>
      <c r="E42" s="8" t="s">
        <v>22</v>
      </c>
      <c r="F42" s="11">
        <f>F41</f>
        <v>12240000</v>
      </c>
    </row>
    <row r="43" spans="1:10" s="2" customFormat="1" x14ac:dyDescent="0.3">
      <c r="A43" s="13" t="s">
        <v>58</v>
      </c>
      <c r="B43" s="50" t="s">
        <v>59</v>
      </c>
      <c r="C43" s="50"/>
      <c r="D43" s="50"/>
      <c r="E43" s="50"/>
      <c r="F43" s="23"/>
      <c r="G43" s="4"/>
      <c r="H43" s="29"/>
      <c r="I43" s="4"/>
      <c r="J43" s="4"/>
    </row>
    <row r="44" spans="1:10" x14ac:dyDescent="0.3">
      <c r="A44" s="40">
        <v>1</v>
      </c>
      <c r="B44" s="51" t="s">
        <v>54</v>
      </c>
      <c r="C44" s="40" t="s">
        <v>55</v>
      </c>
      <c r="D44" s="52" t="s">
        <v>56</v>
      </c>
      <c r="E44" s="8" t="s">
        <v>38</v>
      </c>
      <c r="F44" s="11">
        <f>110000000+(850*563220)</f>
        <v>588737000</v>
      </c>
    </row>
    <row r="45" spans="1:10" x14ac:dyDescent="0.3">
      <c r="A45" s="40"/>
      <c r="B45" s="51"/>
      <c r="C45" s="40"/>
      <c r="D45" s="52"/>
      <c r="E45" s="8" t="s">
        <v>57</v>
      </c>
      <c r="F45" s="11">
        <f>F44</f>
        <v>588737000</v>
      </c>
    </row>
    <row r="46" spans="1:10" x14ac:dyDescent="0.3">
      <c r="A46" s="40">
        <v>2</v>
      </c>
      <c r="B46" s="41" t="s">
        <v>24</v>
      </c>
      <c r="C46" s="40" t="s">
        <v>25</v>
      </c>
      <c r="D46" s="42">
        <v>100000</v>
      </c>
      <c r="E46" s="8" t="s">
        <v>76</v>
      </c>
      <c r="F46" s="11">
        <f>900*100000</f>
        <v>90000000</v>
      </c>
    </row>
    <row r="47" spans="1:10" x14ac:dyDescent="0.3">
      <c r="A47" s="40"/>
      <c r="B47" s="41"/>
      <c r="C47" s="40"/>
      <c r="D47" s="42"/>
      <c r="E47" s="8" t="s">
        <v>31</v>
      </c>
      <c r="F47" s="11">
        <f>F46</f>
        <v>90000000</v>
      </c>
    </row>
    <row r="48" spans="1:10" x14ac:dyDescent="0.3">
      <c r="A48" s="40">
        <v>3</v>
      </c>
      <c r="B48" s="51" t="s">
        <v>51</v>
      </c>
      <c r="C48" s="40" t="s">
        <v>52</v>
      </c>
      <c r="D48" s="42">
        <v>13500</v>
      </c>
      <c r="E48" s="8" t="s">
        <v>38</v>
      </c>
      <c r="F48" s="11">
        <f>1020*13500</f>
        <v>13770000</v>
      </c>
    </row>
    <row r="49" spans="1:10" x14ac:dyDescent="0.3">
      <c r="A49" s="40"/>
      <c r="B49" s="51"/>
      <c r="C49" s="40"/>
      <c r="D49" s="42"/>
      <c r="E49" s="8" t="s">
        <v>53</v>
      </c>
      <c r="F49" s="11">
        <f>F48</f>
        <v>13770000</v>
      </c>
    </row>
    <row r="50" spans="1:10" s="2" customFormat="1" x14ac:dyDescent="0.3">
      <c r="A50" s="13" t="s">
        <v>60</v>
      </c>
      <c r="B50" s="50" t="s">
        <v>61</v>
      </c>
      <c r="C50" s="50"/>
      <c r="D50" s="50"/>
      <c r="E50" s="50"/>
      <c r="F50" s="23"/>
      <c r="G50" s="4"/>
      <c r="H50" s="29"/>
      <c r="I50" s="4"/>
      <c r="J50" s="4"/>
    </row>
    <row r="51" spans="1:10" x14ac:dyDescent="0.3">
      <c r="A51" s="40">
        <v>1</v>
      </c>
      <c r="B51" s="41" t="s">
        <v>13</v>
      </c>
      <c r="C51" s="40" t="s">
        <v>10</v>
      </c>
      <c r="D51" s="42">
        <v>240000</v>
      </c>
      <c r="E51" s="8" t="s">
        <v>97</v>
      </c>
      <c r="F51" s="23">
        <f>1020*240000</f>
        <v>244800000</v>
      </c>
      <c r="H51" s="7"/>
    </row>
    <row r="52" spans="1:10" x14ac:dyDescent="0.3">
      <c r="A52" s="40"/>
      <c r="B52" s="41"/>
      <c r="C52" s="40"/>
      <c r="D52" s="42"/>
      <c r="E52" s="8" t="s">
        <v>11</v>
      </c>
      <c r="F52" s="23">
        <f>F53+F54</f>
        <v>244800000</v>
      </c>
      <c r="H52" s="6"/>
    </row>
    <row r="53" spans="1:10" x14ac:dyDescent="0.3">
      <c r="A53" s="40"/>
      <c r="B53" s="41"/>
      <c r="C53" s="40"/>
      <c r="D53" s="42"/>
      <c r="E53" s="8" t="s">
        <v>49</v>
      </c>
      <c r="F53" s="11">
        <f>F51*80%</f>
        <v>195840000</v>
      </c>
      <c r="H53" s="6"/>
    </row>
    <row r="54" spans="1:10" x14ac:dyDescent="0.3">
      <c r="A54" s="40"/>
      <c r="B54" s="41"/>
      <c r="C54" s="40"/>
      <c r="D54" s="42"/>
      <c r="E54" s="8" t="s">
        <v>50</v>
      </c>
      <c r="F54" s="11">
        <f>F51*20%</f>
        <v>48960000</v>
      </c>
      <c r="H54" s="6"/>
    </row>
    <row r="55" spans="1:10" x14ac:dyDescent="0.3">
      <c r="A55" s="40"/>
      <c r="B55" s="41"/>
      <c r="C55" s="40"/>
      <c r="D55" s="42"/>
      <c r="E55" s="8" t="s">
        <v>98</v>
      </c>
      <c r="F55" s="11">
        <f>F54*2%</f>
        <v>979200</v>
      </c>
      <c r="H55" s="6"/>
    </row>
    <row r="56" spans="1:10" x14ac:dyDescent="0.3">
      <c r="A56" s="40"/>
      <c r="B56" s="41"/>
      <c r="C56" s="40"/>
      <c r="D56" s="42"/>
      <c r="E56" s="27" t="s">
        <v>99</v>
      </c>
      <c r="F56" s="11">
        <f>F51*10%</f>
        <v>24480000</v>
      </c>
      <c r="H56" s="6"/>
    </row>
    <row r="57" spans="1:10" x14ac:dyDescent="0.3">
      <c r="A57" s="40"/>
      <c r="B57" s="41"/>
      <c r="C57" s="40"/>
      <c r="D57" s="42"/>
      <c r="E57" s="8" t="s">
        <v>75</v>
      </c>
      <c r="F57" s="11">
        <f>F54-(F55+F56)</f>
        <v>23500800</v>
      </c>
      <c r="H57" s="6"/>
    </row>
    <row r="58" spans="1:10" x14ac:dyDescent="0.3">
      <c r="A58" s="40"/>
      <c r="B58" s="41"/>
      <c r="C58" s="40"/>
      <c r="D58" s="42"/>
      <c r="E58" s="8" t="s">
        <v>78</v>
      </c>
      <c r="F58" s="11">
        <f>F57*15%</f>
        <v>3525120</v>
      </c>
      <c r="H58" s="6"/>
    </row>
    <row r="59" spans="1:10" ht="37.5" x14ac:dyDescent="0.3">
      <c r="A59" s="40"/>
      <c r="B59" s="41"/>
      <c r="C59" s="40"/>
      <c r="D59" s="42"/>
      <c r="E59" s="27" t="s">
        <v>79</v>
      </c>
      <c r="F59" s="11">
        <f>F57*85%</f>
        <v>19975680</v>
      </c>
      <c r="H59" s="6"/>
    </row>
    <row r="60" spans="1:10" x14ac:dyDescent="0.3">
      <c r="A60" s="40"/>
      <c r="B60" s="41"/>
      <c r="C60" s="40"/>
      <c r="D60" s="42"/>
      <c r="E60" s="8" t="s">
        <v>34</v>
      </c>
      <c r="F60" s="11">
        <f>H60*G60</f>
        <v>4794163.2000000002</v>
      </c>
      <c r="G60" s="21">
        <v>0.24</v>
      </c>
      <c r="H60" s="22">
        <f>F59</f>
        <v>19975680</v>
      </c>
    </row>
    <row r="61" spans="1:10" x14ac:dyDescent="0.3">
      <c r="A61" s="40"/>
      <c r="B61" s="41"/>
      <c r="C61" s="40"/>
      <c r="D61" s="42"/>
      <c r="E61" s="8" t="s">
        <v>86</v>
      </c>
      <c r="F61" s="11">
        <f t="shared" ref="F61:F66" si="2">H61*G61</f>
        <v>4194892.8</v>
      </c>
      <c r="G61" s="21">
        <v>0.21</v>
      </c>
      <c r="H61" s="22">
        <f>F59</f>
        <v>19975680</v>
      </c>
    </row>
    <row r="62" spans="1:10" x14ac:dyDescent="0.3">
      <c r="A62" s="40"/>
      <c r="B62" s="41"/>
      <c r="C62" s="40"/>
      <c r="D62" s="42"/>
      <c r="E62" s="8" t="s">
        <v>47</v>
      </c>
      <c r="F62" s="11">
        <f t="shared" si="2"/>
        <v>2996352</v>
      </c>
      <c r="G62" s="21">
        <v>0.15</v>
      </c>
      <c r="H62" s="22">
        <f>F59</f>
        <v>19975680</v>
      </c>
    </row>
    <row r="63" spans="1:10" x14ac:dyDescent="0.3">
      <c r="A63" s="40"/>
      <c r="B63" s="41"/>
      <c r="C63" s="40"/>
      <c r="D63" s="42"/>
      <c r="E63" s="8" t="s">
        <v>42</v>
      </c>
      <c r="F63" s="11">
        <f t="shared" si="2"/>
        <v>2397081.6000000001</v>
      </c>
      <c r="G63" s="21">
        <v>0.12</v>
      </c>
      <c r="H63" s="22">
        <f>F59</f>
        <v>19975680</v>
      </c>
    </row>
    <row r="64" spans="1:10" x14ac:dyDescent="0.3">
      <c r="A64" s="40"/>
      <c r="B64" s="41"/>
      <c r="C64" s="40"/>
      <c r="D64" s="42"/>
      <c r="E64" s="8" t="s">
        <v>96</v>
      </c>
      <c r="F64" s="11">
        <f t="shared" si="2"/>
        <v>1797811.2</v>
      </c>
      <c r="G64" s="21">
        <v>0.09</v>
      </c>
      <c r="H64" s="22">
        <f>F59</f>
        <v>19975680</v>
      </c>
    </row>
    <row r="65" spans="1:10" x14ac:dyDescent="0.3">
      <c r="A65" s="40"/>
      <c r="B65" s="41"/>
      <c r="C65" s="40"/>
      <c r="D65" s="42"/>
      <c r="E65" s="8" t="s">
        <v>95</v>
      </c>
      <c r="F65" s="11">
        <f t="shared" si="2"/>
        <v>1797811.2</v>
      </c>
      <c r="G65" s="21">
        <v>0.09</v>
      </c>
      <c r="H65" s="22">
        <f>F59</f>
        <v>19975680</v>
      </c>
    </row>
    <row r="66" spans="1:10" x14ac:dyDescent="0.3">
      <c r="A66" s="40"/>
      <c r="B66" s="41"/>
      <c r="C66" s="40"/>
      <c r="D66" s="42"/>
      <c r="E66" s="8" t="s">
        <v>65</v>
      </c>
      <c r="F66" s="11">
        <f t="shared" si="2"/>
        <v>1997568</v>
      </c>
      <c r="G66" s="21">
        <v>0.1</v>
      </c>
      <c r="H66" s="22">
        <f>F59</f>
        <v>19975680</v>
      </c>
    </row>
    <row r="67" spans="1:10" s="2" customFormat="1" x14ac:dyDescent="0.3">
      <c r="A67" s="40">
        <v>2</v>
      </c>
      <c r="B67" s="41" t="s">
        <v>15</v>
      </c>
      <c r="C67" s="40" t="s">
        <v>10</v>
      </c>
      <c r="D67" s="42">
        <v>150000</v>
      </c>
      <c r="E67" s="24" t="s">
        <v>37</v>
      </c>
      <c r="F67" s="23">
        <f>1000*150000</f>
        <v>150000000</v>
      </c>
      <c r="G67" s="4"/>
      <c r="H67" s="4"/>
      <c r="I67" s="4"/>
      <c r="J67" s="4"/>
    </row>
    <row r="68" spans="1:10" s="2" customFormat="1" x14ac:dyDescent="0.3">
      <c r="A68" s="40"/>
      <c r="B68" s="41"/>
      <c r="C68" s="40"/>
      <c r="D68" s="42"/>
      <c r="E68" s="24" t="s">
        <v>11</v>
      </c>
      <c r="F68" s="23">
        <f>F69+F70</f>
        <v>150000000</v>
      </c>
      <c r="G68" s="4"/>
      <c r="H68" s="4"/>
      <c r="I68" s="4"/>
      <c r="J68" s="4"/>
    </row>
    <row r="69" spans="1:10" x14ac:dyDescent="0.3">
      <c r="A69" s="40"/>
      <c r="B69" s="41"/>
      <c r="C69" s="40"/>
      <c r="D69" s="42"/>
      <c r="E69" s="8" t="s">
        <v>87</v>
      </c>
      <c r="F69" s="11">
        <f>F67*27.3%</f>
        <v>40950000</v>
      </c>
      <c r="G69" s="31"/>
      <c r="H69" s="32"/>
    </row>
    <row r="70" spans="1:10" x14ac:dyDescent="0.3">
      <c r="A70" s="40"/>
      <c r="B70" s="41"/>
      <c r="C70" s="40"/>
      <c r="D70" s="42"/>
      <c r="E70" s="8" t="s">
        <v>88</v>
      </c>
      <c r="F70" s="11">
        <f>F67*72.7%</f>
        <v>109050000</v>
      </c>
      <c r="G70" s="35">
        <f>27.3-100</f>
        <v>-72.7</v>
      </c>
      <c r="H70" s="32"/>
    </row>
    <row r="71" spans="1:10" x14ac:dyDescent="0.3">
      <c r="A71" s="40"/>
      <c r="B71" s="41"/>
      <c r="C71" s="40"/>
      <c r="D71" s="42"/>
      <c r="E71" s="8" t="s">
        <v>89</v>
      </c>
      <c r="F71" s="11">
        <f>F70*2%</f>
        <v>2181000</v>
      </c>
      <c r="G71" s="35"/>
      <c r="H71" s="32"/>
    </row>
    <row r="72" spans="1:10" x14ac:dyDescent="0.3">
      <c r="A72" s="40"/>
      <c r="B72" s="41"/>
      <c r="C72" s="40"/>
      <c r="D72" s="42"/>
      <c r="E72" s="8" t="s">
        <v>90</v>
      </c>
      <c r="F72" s="11">
        <f>F67*55%</f>
        <v>82500000</v>
      </c>
      <c r="G72" s="31"/>
      <c r="H72" s="32"/>
    </row>
    <row r="73" spans="1:10" x14ac:dyDescent="0.3">
      <c r="A73" s="40"/>
      <c r="B73" s="41"/>
      <c r="C73" s="40"/>
      <c r="D73" s="42"/>
      <c r="E73" s="8" t="s">
        <v>94</v>
      </c>
      <c r="F73" s="11">
        <f>500000*10</f>
        <v>5000000</v>
      </c>
      <c r="G73" s="31"/>
      <c r="H73" s="32"/>
    </row>
    <row r="74" spans="1:10" x14ac:dyDescent="0.3">
      <c r="A74" s="40"/>
      <c r="B74" s="41"/>
      <c r="C74" s="40"/>
      <c r="D74" s="42"/>
      <c r="E74" s="8" t="s">
        <v>91</v>
      </c>
      <c r="F74" s="11">
        <f>F70-(F71+F72+F73)</f>
        <v>19369000</v>
      </c>
      <c r="G74" s="31"/>
      <c r="H74" s="32"/>
    </row>
    <row r="75" spans="1:10" x14ac:dyDescent="0.3">
      <c r="A75" s="40"/>
      <c r="B75" s="41"/>
      <c r="C75" s="40"/>
      <c r="D75" s="42"/>
      <c r="E75" s="8" t="s">
        <v>45</v>
      </c>
      <c r="F75" s="11">
        <f>H75*G75</f>
        <v>4461080</v>
      </c>
      <c r="G75" s="36">
        <v>0.23</v>
      </c>
      <c r="H75" s="32">
        <v>19396000</v>
      </c>
    </row>
    <row r="76" spans="1:10" x14ac:dyDescent="0.3">
      <c r="A76" s="40"/>
      <c r="B76" s="41"/>
      <c r="C76" s="40"/>
      <c r="D76" s="42"/>
      <c r="E76" s="8" t="s">
        <v>63</v>
      </c>
      <c r="F76" s="11">
        <f t="shared" ref="F76:F81" si="3">H76*G76</f>
        <v>3879200</v>
      </c>
      <c r="G76" s="36">
        <v>0.2</v>
      </c>
      <c r="H76" s="32">
        <v>19396000</v>
      </c>
    </row>
    <row r="77" spans="1:10" x14ac:dyDescent="0.3">
      <c r="A77" s="40"/>
      <c r="B77" s="41"/>
      <c r="C77" s="40"/>
      <c r="D77" s="42"/>
      <c r="E77" s="8" t="s">
        <v>35</v>
      </c>
      <c r="F77" s="11">
        <f t="shared" si="3"/>
        <v>2521480</v>
      </c>
      <c r="G77" s="36">
        <v>0.13</v>
      </c>
      <c r="H77" s="32">
        <v>19396000</v>
      </c>
    </row>
    <row r="78" spans="1:10" x14ac:dyDescent="0.3">
      <c r="A78" s="40"/>
      <c r="B78" s="41"/>
      <c r="C78" s="40"/>
      <c r="D78" s="42"/>
      <c r="E78" s="8" t="s">
        <v>41</v>
      </c>
      <c r="F78" s="11">
        <f t="shared" si="3"/>
        <v>1939600</v>
      </c>
      <c r="G78" s="36">
        <v>0.1</v>
      </c>
      <c r="H78" s="32">
        <v>19396000</v>
      </c>
    </row>
    <row r="79" spans="1:10" x14ac:dyDescent="0.3">
      <c r="A79" s="40"/>
      <c r="B79" s="41"/>
      <c r="C79" s="40"/>
      <c r="D79" s="42"/>
      <c r="E79" s="8" t="s">
        <v>92</v>
      </c>
      <c r="F79" s="11">
        <f t="shared" si="3"/>
        <v>2133560</v>
      </c>
      <c r="G79" s="36">
        <v>0.11</v>
      </c>
      <c r="H79" s="32">
        <v>19396000</v>
      </c>
    </row>
    <row r="80" spans="1:10" x14ac:dyDescent="0.3">
      <c r="A80" s="40"/>
      <c r="B80" s="41"/>
      <c r="C80" s="40"/>
      <c r="D80" s="42"/>
      <c r="E80" s="8" t="s">
        <v>64</v>
      </c>
      <c r="F80" s="11">
        <f t="shared" si="3"/>
        <v>1939600</v>
      </c>
      <c r="G80" s="36">
        <v>0.1</v>
      </c>
      <c r="H80" s="32">
        <v>19396000</v>
      </c>
    </row>
    <row r="81" spans="1:8" x14ac:dyDescent="0.3">
      <c r="A81" s="40"/>
      <c r="B81" s="41"/>
      <c r="C81" s="40"/>
      <c r="D81" s="42"/>
      <c r="E81" s="8" t="s">
        <v>100</v>
      </c>
      <c r="F81" s="11">
        <f t="shared" si="3"/>
        <v>2521480</v>
      </c>
      <c r="G81" s="37">
        <v>0.13</v>
      </c>
      <c r="H81" s="32">
        <v>19396000</v>
      </c>
    </row>
    <row r="83" spans="1:8" ht="18.75" customHeight="1" x14ac:dyDescent="0.3"/>
    <row r="84" spans="1:8" ht="18.75" customHeight="1" x14ac:dyDescent="0.3">
      <c r="A84" s="38" t="s">
        <v>26</v>
      </c>
      <c r="B84" s="38"/>
      <c r="C84" s="38"/>
      <c r="D84" s="38"/>
      <c r="E84" s="39" t="s">
        <v>27</v>
      </c>
      <c r="F84" s="39"/>
    </row>
    <row r="88" spans="1:8" s="3" customFormat="1" ht="18.75" customHeight="1" x14ac:dyDescent="0.3">
      <c r="A88" s="38" t="s">
        <v>28</v>
      </c>
      <c r="B88" s="38"/>
      <c r="C88" s="38"/>
      <c r="D88" s="38"/>
      <c r="E88" s="39" t="s">
        <v>29</v>
      </c>
      <c r="F88" s="39"/>
    </row>
    <row r="94" spans="1:8" s="3" customFormat="1" x14ac:dyDescent="0.3">
      <c r="A94" s="9"/>
      <c r="B94" s="15"/>
      <c r="C94" s="9"/>
      <c r="D94" s="9"/>
      <c r="E94" s="5"/>
      <c r="F94" s="10"/>
    </row>
    <row r="95" spans="1:8" s="3" customFormat="1" x14ac:dyDescent="0.3">
      <c r="A95" s="9"/>
      <c r="B95" s="15"/>
      <c r="C95" s="9"/>
      <c r="D95" s="20"/>
      <c r="E95" s="5"/>
      <c r="F95" s="10"/>
    </row>
    <row r="96" spans="1:8" s="3" customFormat="1" x14ac:dyDescent="0.3">
      <c r="A96" s="9"/>
      <c r="B96" s="15"/>
      <c r="C96" s="9"/>
      <c r="D96" s="20"/>
      <c r="E96" s="5"/>
      <c r="F96" s="10"/>
    </row>
    <row r="99" spans="5:5" x14ac:dyDescent="0.3">
      <c r="E99" s="10"/>
    </row>
  </sheetData>
  <mergeCells count="54">
    <mergeCell ref="H10:H12"/>
    <mergeCell ref="A1:F1"/>
    <mergeCell ref="A3:F3"/>
    <mergeCell ref="A5:F5"/>
    <mergeCell ref="E6:F6"/>
    <mergeCell ref="B8:E8"/>
    <mergeCell ref="G9:G10"/>
    <mergeCell ref="A11:A23"/>
    <mergeCell ref="B11:B23"/>
    <mergeCell ref="C11:C23"/>
    <mergeCell ref="D11:D23"/>
    <mergeCell ref="A9:A10"/>
    <mergeCell ref="B9:B10"/>
    <mergeCell ref="C9:C10"/>
    <mergeCell ref="D9:D10"/>
    <mergeCell ref="F9:F10"/>
    <mergeCell ref="A24:A25"/>
    <mergeCell ref="B24:B25"/>
    <mergeCell ref="C24:C25"/>
    <mergeCell ref="D24:D25"/>
    <mergeCell ref="A26:A40"/>
    <mergeCell ref="B26:B40"/>
    <mergeCell ref="C26:C40"/>
    <mergeCell ref="D26:D40"/>
    <mergeCell ref="A41:A42"/>
    <mergeCell ref="B41:B42"/>
    <mergeCell ref="C41:C42"/>
    <mergeCell ref="D41:D42"/>
    <mergeCell ref="A51:A66"/>
    <mergeCell ref="B51:B66"/>
    <mergeCell ref="C51:C66"/>
    <mergeCell ref="D51:D66"/>
    <mergeCell ref="B43:E43"/>
    <mergeCell ref="A44:A45"/>
    <mergeCell ref="B44:B45"/>
    <mergeCell ref="C44:C45"/>
    <mergeCell ref="D44:D45"/>
    <mergeCell ref="D48:D49"/>
    <mergeCell ref="A84:D84"/>
    <mergeCell ref="E84:F84"/>
    <mergeCell ref="A88:D88"/>
    <mergeCell ref="E88:F88"/>
    <mergeCell ref="A46:A47"/>
    <mergeCell ref="B46:B47"/>
    <mergeCell ref="C46:C47"/>
    <mergeCell ref="D46:D47"/>
    <mergeCell ref="A67:A81"/>
    <mergeCell ref="B67:B81"/>
    <mergeCell ref="C67:C81"/>
    <mergeCell ref="D67:D81"/>
    <mergeCell ref="B50:E50"/>
    <mergeCell ref="A48:A49"/>
    <mergeCell ref="B48:B49"/>
    <mergeCell ref="C48:C49"/>
  </mergeCells>
  <pageMargins left="0.51181102362204722" right="0.31496062992125984" top="0.74803149606299213" bottom="0.5905511811023622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 chi</vt:lpstr>
      <vt:lpstr>Sheet2</vt:lpstr>
      <vt:lpstr>Sheet3</vt:lpstr>
      <vt:lpstr>'PA chi'!Print_Area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Techsi.vn</cp:lastModifiedBy>
  <cp:lastPrinted>2022-10-15T02:27:16Z</cp:lastPrinted>
  <dcterms:created xsi:type="dcterms:W3CDTF">2018-10-01T07:07:39Z</dcterms:created>
  <dcterms:modified xsi:type="dcterms:W3CDTF">2022-10-15T02:44:17Z</dcterms:modified>
</cp:coreProperties>
</file>